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<sst xmlns="http://schemas.openxmlformats.org/spreadsheetml/2006/main" count="663" uniqueCount="331">
  <si>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</si>
  <si>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</si>
  <si>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</si>
  <si>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</si>
  <si>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</si>
  <si>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</si>
  <si>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</si>
  <si>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</si>
  <si>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</si>
  <si>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</si>
  <si>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</si>
  <si>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</si>
  <si>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</si>
  <si>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</si>
  <si>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</si>
  <si>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</si>
  <si>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</si>
  <si>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</si>
  <si>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</si>
  <si>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</si>
  <si>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</si>
  <si>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</si>
  <si>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</si>
  <si>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</si>
  <si>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</si>
  <si>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</si>
  <si>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</si>
  <si>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</si>
  <si>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</si>
  <si>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</si>
  <si>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</si>
  <si>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</si>
  <si>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</si>
  <si>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</si>
  <si>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</si>
  <si>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</si>
  <si>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</si>
  <si>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</si>
  <si>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</si>
  <si>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</si>
  <si>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</si>
  <si>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</si>
  <si>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</si>
  <si>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</si>
  <si>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</si>
  <si>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</si>
  <si>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</si>
  <si>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</si>
  <si>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</si>
  <si>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</si>
  <si>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</si>
  <si>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</si>
  <si>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</si>
  <si>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</si>
  <si>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</si>
  <si>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</si>
  <si>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</si>
  <si>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</si>
  <si>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</si>
  <si>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</si>
  <si>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</si>
  <si>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</si>
  <si>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</si>
  <si>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</si>
  <si>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</si>
  <si>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</si>
  <si>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</si>
  <si>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</si>
  <si>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</si>
  <si>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</si>
  <si>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</si>
  <si>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</si>
  <si>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</si>
  <si>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</si>
  <si>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</si>
  <si>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</si>
  <si>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</si>
  <si>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</si>
  <si>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</si>
  <si>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</si>
  <si>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</si>
  <si>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</si>
  <si>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</si>
  <si>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</si>
  <si>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</si>
  <si>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</si>
  <si>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</si>
  <si>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</si>
  <si>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</si>
  <si>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</si>
  <si>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</si>
  <si>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</si>
  <si>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</si>
  <si>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</si>
  <si>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</si>
  <si>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</si>
  <si>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</si>
  <si>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</si>
  <si>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</si>
  <si>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</si>
  <si>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</si>
  <si>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</si>
  <si>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</si>
  <si>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</si>
  <si>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</si>
  <si>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</si>
  <si>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</si>
  <si>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</si>
  <si>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</si>
  <si>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</si>
  <si>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</si>
  <si>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</si>
  <si>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</si>
  <si>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</si>
  <si>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</si>
  <si>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</si>
  <si>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</si>
  <si>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</si>
  <si>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</si>
  <si>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</si>
  <si>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</si>
  <si>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</si>
  <si>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</si>
  <si>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</si>
  <si>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</si>
  <si>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</si>
  <si>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</si>
  <si>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</si>
  <si>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</si>
  <si>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</si>
  <si>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</si>
  <si>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</si>
  <si>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</si>
  <si>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</si>
  <si>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</si>
  <si>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</si>
  <si>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</si>
  <si>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</si>
  <si>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</si>
  <si>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</si>
  <si>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</si>
  <si>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</si>
  <si>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</si>
  <si>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</si>
  <si>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</si>
  <si>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</si>
  <si>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</si>
  <si>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</si>
  <si>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</si>
  <si>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</si>
  <si>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</si>
  <si>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</si>
  <si>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</si>
  <si>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</si>
  <si>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</si>
  <si>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</si>
  <si>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</si>
  <si>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</si>
  <si>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</si>
  <si>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</si>
  <si>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</si>
  <si>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</si>
  <si>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</si>
  <si>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</si>
  <si>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</si>
  <si>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</si>
  <si>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</si>
  <si>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</si>
  <si>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</si>
  <si>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</si>
  <si>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</si>
  <si>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</si>
  <si>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</si>
  <si>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</si>
  <si>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</si>
  <si>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</si>
  <si>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</si>
  <si>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</si>
  <si>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</si>
  <si>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</si>
  <si>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</si>
  <si>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</si>
  <si>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</si>
  <si>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</si>
  <si>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</si>
  <si>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</si>
  <si>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</si>
  <si>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</si>
  <si>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</si>
  <si>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</si>
  <si>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</si>
  <si>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</si>
  <si>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</si>
  <si>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</si>
  <si>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</si>
  <si>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</si>
  <si>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</si>
  <si>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</si>
  <si>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</si>
  <si>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</si>
  <si>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</si>
  <si>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</si>
  <si>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</si>
  <si>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</si>
  <si>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</si>
  <si>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</si>
  <si>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</si>
  <si>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</si>
  <si>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</si>
  <si>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</si>
  <si>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</si>
  <si>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</si>
  <si>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</si>
  <si>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</si>
  <si>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</si>
  <si>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</si>
  <si>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</si>
  <si>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</si>
  <si>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</si>
  <si>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</si>
  <si>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</si>
  <si>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</si>
  <si>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</si>
  <si>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</si>
  <si>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</si>
  <si>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</si>
  <si>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</si>
  <si>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</si>
  <si>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</si>
  <si>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</si>
  <si>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</si>
  <si>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</si>
  <si>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</si>
  <si>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</si>
  <si>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 xml:space="preserve">Диетсестра    Шрамко Л.О.                                                                                                                                             Принял повар  Зозуля В.М                                                                                                                                                                                                       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</si>
  <si>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</si>
  <si>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</si>
  <si>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</si>
  <si>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</si>
  <si>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</si>
  <si>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</si>
  <si>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</si>
  <si>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</si>
  <si>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</si>
  <si>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</si>
  <si>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</si>
  <si>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</si>
  <si>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</si>
  <si>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</si>
  <si>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</si>
  <si>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</si>
  <si>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</si>
  <si>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</si>
  <si>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</si>
  <si>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</si>
  <si>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</si>
  <si>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</si>
  <si>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</si>
  <si>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</si>
  <si>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</si>
  <si>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</si>
  <si>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</si>
  <si>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</si>
  <si>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</si>
  <si>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</si>
  <si>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</si>
  <si>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</si>
  <si>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</si>
  <si>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</si>
  <si>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</si>
  <si>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</si>
  <si>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</si>
  <si>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</si>
  <si>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</si>
  <si>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</si>
  <si>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</si>
  <si>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</si>
  <si>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</si>
  <si>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</si>
  <si>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</si>
  <si>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</si>
  <si>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</si>
  <si>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</si>
  <si>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</si>
  <si>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</si>
  <si>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</si>
  <si>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</si>
  <si>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</si>
  <si>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</si>
  <si>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</si>
  <si>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</si>
  <si>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</si>
  <si>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</si>
  <si>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</si>
  <si>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</si>
  <si>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</si>
  <si>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</si>
  <si>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</si>
  <si>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</si>
  <si>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</si>
  <si>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</si>
  <si>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</si>
  <si>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</si>
  <si>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</si>
  <si>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</si>
  <si>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</si>
  <si>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</si>
  <si>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</si>
  <si>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огірок свіжий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</si>
  <si>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</si>
  <si>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</si>
  <si>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</si>
  <si>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</si>
  <si>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</si>
  <si>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</si>
  <si>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</si>
  <si>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</si>
  <si>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</si>
  <si>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</si>
  <si>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</si>
  <si>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</si>
  <si>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</si>
  <si>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</si>
  <si>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</si>
  <si>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</si>
  <si>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</si>
  <si>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</si>
  <si>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перець солодкий</t>
  </si>
  <si>
    <t xml:space="preserve">     на  "29" вересня  2018 р.</t>
  </si>
  <si>
    <r>
      <t>"</t>
    </r>
    <r>
      <rPr>
        <u val="single"/>
        <sz val="20"/>
        <rFont val="Arial Cyr"/>
        <family val="0"/>
      </rPr>
      <t xml:space="preserve">       28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09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  18   </t>
    </r>
    <r>
      <rPr>
        <sz val="20"/>
        <rFont val="Arial Cyr"/>
        <family val="0"/>
      </rPr>
      <t>г.</t>
    </r>
  </si>
  <si>
    <t>помідори свіжі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</si>
</sst>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02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02" fontId="26" fillId="0" borderId="11" xfId="0" applyNumberFormat="1" applyFont="1" applyBorder="1" applyAlignment="1">
      <alignment horizontal="center" vertical="center" wrapText="1"/>
    </xf>
    <xf numFmtId="202" fontId="2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02" fontId="26" fillId="0" borderId="20" xfId="0" applyNumberFormat="1" applyFont="1" applyBorder="1" applyAlignment="1">
      <alignment horizontal="center" vertical="center" wrapText="1"/>
    </xf>
    <xf numFmtId="202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202" fontId="26" fillId="0" borderId="16" xfId="0" applyNumberFormat="1" applyFont="1" applyBorder="1" applyAlignment="1">
      <alignment horizontal="center" vertical="center" wrapText="1"/>
    </xf>
    <xf numFmtId="202" fontId="26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02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0.emf" /><Relationship Id="rId3" Type="http://schemas.openxmlformats.org/officeDocument/2006/relationships/image" Target="../media/image20.emf" /><Relationship Id="rId4" Type="http://schemas.openxmlformats.org/officeDocument/2006/relationships/image" Target="../media/image29.emf" /><Relationship Id="rId5" Type="http://schemas.openxmlformats.org/officeDocument/2006/relationships/image" Target="../media/image28.emf" /><Relationship Id="rId6" Type="http://schemas.openxmlformats.org/officeDocument/2006/relationships/image" Target="../media/image27.emf" /><Relationship Id="rId7" Type="http://schemas.openxmlformats.org/officeDocument/2006/relationships/image" Target="../media/image1.emf" /><Relationship Id="rId8" Type="http://schemas.openxmlformats.org/officeDocument/2006/relationships/image" Target="../media/image26.emf" /><Relationship Id="rId9" Type="http://schemas.openxmlformats.org/officeDocument/2006/relationships/image" Target="../media/image25.emf" /><Relationship Id="rId10" Type="http://schemas.openxmlformats.org/officeDocument/2006/relationships/image" Target="../media/image24.emf" /><Relationship Id="rId11" Type="http://schemas.openxmlformats.org/officeDocument/2006/relationships/image" Target="../media/image23.emf" /><Relationship Id="rId12" Type="http://schemas.openxmlformats.org/officeDocument/2006/relationships/image" Target="../media/image19.emf" /><Relationship Id="rId13" Type="http://schemas.openxmlformats.org/officeDocument/2006/relationships/image" Target="../media/image22.emf" /><Relationship Id="rId14" Type="http://schemas.openxmlformats.org/officeDocument/2006/relationships/image" Target="../media/image21.emf" /><Relationship Id="rId15" Type="http://schemas.openxmlformats.org/officeDocument/2006/relationships/image" Target="../media/image17.emf" /><Relationship Id="rId16" Type="http://schemas.openxmlformats.org/officeDocument/2006/relationships/image" Target="../media/image37.emf" /><Relationship Id="rId17" Type="http://schemas.openxmlformats.org/officeDocument/2006/relationships/image" Target="../media/image36.emf" /><Relationship Id="rId18" Type="http://schemas.openxmlformats.org/officeDocument/2006/relationships/image" Target="../media/image35.emf" /><Relationship Id="rId19" Type="http://schemas.openxmlformats.org/officeDocument/2006/relationships/image" Target="../media/image18.emf" /><Relationship Id="rId20" Type="http://schemas.openxmlformats.org/officeDocument/2006/relationships/image" Target="../media/image34.emf" /><Relationship Id="rId21" Type="http://schemas.openxmlformats.org/officeDocument/2006/relationships/image" Target="../media/image33.emf" /><Relationship Id="rId22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876300</xdr:colOff>
      <xdr:row>0</xdr:row>
      <xdr:rowOff>133350</xdr:rowOff>
    </xdr:from>
    <xdr:to>
      <xdr:col>33</xdr:col>
      <xdr:colOff>1085850</xdr:colOff>
      <xdr:row>3</xdr:row>
      <xdr:rowOff>133350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37800" y="13335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19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18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W1">
      <selection activeCell="AH3" sqref="AH3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10.140625" style="0" bestFit="1" customWidth="1"/>
    <col min="98" max="98" width="8.421875" style="0" customWidth="1"/>
    <col min="99" max="99" width="13.7109375" style="0" bestFit="1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1.7109375" style="0" bestFit="1" customWidth="1"/>
    <col min="107" max="107" width="27.28125" style="0" bestFit="1" customWidth="1"/>
    <col min="108" max="108" width="18.7109375" style="0" bestFit="1" customWidth="1"/>
    <col min="109" max="109" width="10.42187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186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197</v>
      </c>
      <c r="AI1" s="303"/>
      <c r="AJ1" s="303"/>
      <c r="AK1" s="303"/>
      <c r="AL1" s="303"/>
      <c r="AM1" s="303"/>
      <c r="AN1" s="303"/>
      <c r="AQ1" s="61"/>
      <c r="AR1" s="61" t="s">
        <v>15</v>
      </c>
      <c r="AS1" s="61" t="s">
        <v>8</v>
      </c>
      <c r="AT1" s="61" t="s">
        <v>16</v>
      </c>
      <c r="AU1" s="61" t="s">
        <v>275</v>
      </c>
      <c r="AV1" s="61" t="s">
        <v>17</v>
      </c>
      <c r="AW1" s="61" t="s">
        <v>5</v>
      </c>
      <c r="AX1" s="61" t="s">
        <v>19</v>
      </c>
      <c r="AY1" s="61" t="s">
        <v>276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262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55</v>
      </c>
      <c r="CR1" s="61" t="s">
        <v>56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117</v>
      </c>
      <c r="DO1" s="61" t="s">
        <v>306</v>
      </c>
      <c r="DP1" s="61" t="s">
        <v>118</v>
      </c>
      <c r="DQ1" s="61" t="s">
        <v>219</v>
      </c>
      <c r="DR1" s="61" t="s">
        <v>221</v>
      </c>
      <c r="DS1" s="61" t="s">
        <v>222</v>
      </c>
      <c r="DT1" s="61" t="s">
        <v>223</v>
      </c>
      <c r="DU1" s="61" t="s">
        <v>224</v>
      </c>
      <c r="DV1" s="61" t="s">
        <v>225</v>
      </c>
      <c r="DW1" s="61" t="s">
        <v>226</v>
      </c>
      <c r="DX1" s="61" t="s">
        <v>274</v>
      </c>
      <c r="DY1" s="61" t="s">
        <v>307</v>
      </c>
    </row>
    <row r="2" spans="1:128" ht="21" customHeight="1">
      <c r="A2" s="222" t="s">
        <v>184</v>
      </c>
      <c r="B2" s="223"/>
      <c r="C2" s="236" t="s">
        <v>185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198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208</v>
      </c>
      <c r="G4" s="236"/>
      <c r="H4" s="236" t="s">
        <v>209</v>
      </c>
      <c r="I4" s="236"/>
      <c r="J4" s="236"/>
      <c r="K4" s="236" t="s">
        <v>210</v>
      </c>
      <c r="L4" s="236"/>
      <c r="M4" s="236"/>
      <c r="N4" s="236" t="s">
        <v>211</v>
      </c>
      <c r="O4" s="236"/>
      <c r="P4" s="236"/>
      <c r="Q4" s="236"/>
      <c r="R4" s="236"/>
      <c r="S4" s="236"/>
      <c r="T4" s="6"/>
      <c r="U4" s="293" t="s">
        <v>187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217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205</v>
      </c>
      <c r="D6" s="285"/>
      <c r="E6" s="285"/>
      <c r="F6" s="286">
        <f>AVERAGE(завтракл,обідл,ужинл)</f>
        <v>16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328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329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77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324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206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232</v>
      </c>
      <c r="Y9" s="301"/>
      <c r="Z9" s="301"/>
      <c r="AA9" s="301"/>
      <c r="AB9" s="301"/>
      <c r="AC9" s="301"/>
      <c r="AD9" s="6"/>
      <c r="AE9" s="302" t="s">
        <v>203</v>
      </c>
      <c r="AF9" s="302"/>
      <c r="AG9" s="302" t="s">
        <v>202</v>
      </c>
      <c r="AH9" s="302"/>
      <c r="AI9" s="302" t="s">
        <v>201</v>
      </c>
      <c r="AJ9" s="302"/>
      <c r="AK9" s="302" t="s">
        <v>200</v>
      </c>
      <c r="AL9" s="302"/>
      <c r="AM9" s="302" t="s">
        <v>199</v>
      </c>
      <c r="AN9" s="302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207</v>
      </c>
      <c r="D13" s="220"/>
      <c r="E13" s="220"/>
      <c r="F13" s="296">
        <f>AM181/сред</f>
        <v>61.287569999999995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17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17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193</v>
      </c>
      <c r="B18" s="198"/>
      <c r="C18" s="186"/>
      <c r="D18" s="186"/>
      <c r="E18" s="187"/>
      <c r="F18" s="199" t="s">
        <v>194</v>
      </c>
      <c r="G18" s="294" t="s">
        <v>216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2</v>
      </c>
      <c r="AI18" s="180" t="s">
        <v>309</v>
      </c>
      <c r="AJ18" s="181"/>
      <c r="AK18" s="185" t="s">
        <v>204</v>
      </c>
      <c r="AL18" s="186"/>
      <c r="AM18" s="186"/>
      <c r="AN18" s="187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192</v>
      </c>
      <c r="B19" s="203"/>
      <c r="C19" s="203"/>
      <c r="D19" s="203"/>
      <c r="E19" s="204"/>
      <c r="F19" s="200"/>
      <c r="G19" s="214" t="s">
        <v>188</v>
      </c>
      <c r="H19" s="215"/>
      <c r="I19" s="215"/>
      <c r="J19" s="215"/>
      <c r="K19" s="215"/>
      <c r="L19" s="215"/>
      <c r="M19" s="215"/>
      <c r="N19" s="216"/>
      <c r="O19" s="214" t="s">
        <v>189</v>
      </c>
      <c r="P19" s="215"/>
      <c r="Q19" s="215"/>
      <c r="R19" s="215"/>
      <c r="S19" s="215"/>
      <c r="T19" s="215"/>
      <c r="U19" s="215"/>
      <c r="V19" s="216"/>
      <c r="W19" s="297" t="s">
        <v>190</v>
      </c>
      <c r="X19" s="297"/>
      <c r="Y19" s="297"/>
      <c r="Z19" s="215" t="s">
        <v>191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7</v>
      </c>
      <c r="AL19" s="189"/>
      <c r="AM19" s="189"/>
      <c r="AN19" s="190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135</v>
      </c>
      <c r="H21" s="112" t="s">
        <v>180</v>
      </c>
      <c r="I21" s="112" t="s">
        <v>181</v>
      </c>
      <c r="J21" s="113" t="s">
        <v>106</v>
      </c>
      <c r="K21" s="67" t="s">
        <v>13</v>
      </c>
      <c r="L21" s="67" t="s">
        <v>119</v>
      </c>
      <c r="M21" s="67"/>
      <c r="N21" s="76"/>
      <c r="O21" s="68" t="s">
        <v>76</v>
      </c>
      <c r="P21" s="67" t="s">
        <v>94</v>
      </c>
      <c r="Q21" s="68" t="s">
        <v>126</v>
      </c>
      <c r="R21" s="67" t="s">
        <v>259</v>
      </c>
      <c r="S21" s="67" t="s">
        <v>13</v>
      </c>
      <c r="T21" s="67" t="s">
        <v>121</v>
      </c>
      <c r="U21" s="67"/>
      <c r="V21" s="67"/>
      <c r="W21" s="67" t="s">
        <v>269</v>
      </c>
      <c r="X21" s="67" t="s">
        <v>10</v>
      </c>
      <c r="Y21" s="76"/>
      <c r="Z21" s="68" t="s">
        <v>294</v>
      </c>
      <c r="AA21" s="67" t="s">
        <v>109</v>
      </c>
      <c r="AB21" s="67" t="s">
        <v>330</v>
      </c>
      <c r="AC21" s="67" t="s">
        <v>12</v>
      </c>
      <c r="AD21" s="67" t="s">
        <v>13</v>
      </c>
      <c r="AE21" s="67" t="s">
        <v>123</v>
      </c>
      <c r="AF21" s="67"/>
      <c r="AG21" s="76"/>
      <c r="AH21" s="148"/>
      <c r="AI21" s="176"/>
      <c r="AJ21" s="184"/>
      <c r="AK21" s="176" t="s">
        <v>310</v>
      </c>
      <c r="AL21" s="177"/>
      <c r="AM21" s="105" t="s">
        <v>311</v>
      </c>
      <c r="AN21" s="106" t="s">
        <v>312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7">
        <v>30</v>
      </c>
      <c r="AI22" s="178">
        <v>31</v>
      </c>
      <c r="AJ22" s="179"/>
      <c r="AK22" s="175">
        <v>32</v>
      </c>
      <c r="AL22" s="175"/>
      <c r="AM22" s="108">
        <v>33</v>
      </c>
      <c r="AN22" s="109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195</v>
      </c>
      <c r="B23" s="211"/>
      <c r="C23" s="211"/>
      <c r="D23" s="211"/>
      <c r="E23" s="211"/>
      <c r="F23" s="66" t="s">
        <v>2</v>
      </c>
      <c r="G23" s="89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70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v>16</v>
      </c>
      <c r="X23" s="20">
        <f>W23</f>
        <v>16</v>
      </c>
      <c r="Y23" s="70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70">
        <f t="shared" si="1"/>
        <v>16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196</v>
      </c>
      <c r="B24" s="212"/>
      <c r="C24" s="212"/>
      <c r="D24" s="212"/>
      <c r="E24" s="213"/>
      <c r="F24" s="65" t="s">
        <v>2</v>
      </c>
      <c r="G24" s="90">
        <f>IF(завтрак1="хліб житній",DS2,(IF(завтрак1="хліб пшеничний",DR2,(VLOOKUP(завтрак1,таб,67,FALSE)))))</f>
        <v>300</v>
      </c>
      <c r="H24" s="41">
        <v>10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200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0</v>
      </c>
      <c r="N24" s="71">
        <f>IF(завтрак8="хліб житній",DS2,(IF(завтрак8="хліб пшеничний",DR2,(VLOOKUP(завтрак8,таб,67,FALSE)))))</f>
        <v>0</v>
      </c>
      <c r="O24" s="104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200</v>
      </c>
      <c r="Q24" s="40">
        <f>IF(обед3="хліб житній",DU2,(IF(обед3="хліб пшеничний",DT2,(VLOOKUP(обед3,таб,67,FALSE)))))</f>
        <v>100</v>
      </c>
      <c r="R24" s="40" t="str">
        <f>IF(обед4="хліб житній",DU2,(IF(обед4="хліб пшеничний",DT2,(VLOOKUP(обед4,таб,67,FALSE)))))</f>
        <v>150/25</v>
      </c>
      <c r="S24" s="40">
        <v>165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v>75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285</v>
      </c>
      <c r="AA24" s="40" t="str">
        <f>IF(ужин2="хліб житній",DW2,(IF(ужин2="хліб пшеничний",DV2,(VLOOKUP(ужин2,таб,67,FALSE)))))</f>
        <v>1шт</v>
      </c>
      <c r="AB24" s="40">
        <v>150</v>
      </c>
      <c r="AC24" s="40">
        <f>IF(ужин4="хліб житній",DW2,(IF(ужин4="хліб пшеничний",DV2,(VLOOKUP(ужин4,таб,67,FALSE)))))</f>
        <v>35</v>
      </c>
      <c r="AD24" s="40">
        <f>IF(ужин5="хліб житній",DW2,(IF(ужин5="хліб пшеничний",DV2,(VLOOKUP(ужин5,таб,67,FALSE)))))</f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292"/>
      <c r="AJ24" s="292"/>
      <c r="AK24" s="130"/>
      <c r="AL24" s="130"/>
      <c r="AM24" s="2"/>
      <c r="AN24" s="3"/>
      <c r="AP24">
        <v>23</v>
      </c>
      <c r="AQ24" s="62" t="s">
        <v>259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15</v>
      </c>
      <c r="B25" s="196"/>
      <c r="C25" s="196"/>
      <c r="D25" s="196"/>
      <c r="E25" s="197"/>
      <c r="F25" s="83" t="s">
        <v>212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/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4" t="s">
        <v>213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/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4</v>
      </c>
      <c r="B27" s="196"/>
      <c r="C27" s="196"/>
      <c r="D27" s="196"/>
      <c r="E27" s="197"/>
      <c r="F27" s="83" t="s">
        <v>212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v>74</v>
      </c>
      <c r="AA27" s="29">
        <f>VLOOKUP(ужин2,таб,3,FALSE)</f>
        <v>0</v>
      </c>
      <c r="AB27" s="28"/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2">
        <v>610002</v>
      </c>
      <c r="AI27" s="173">
        <f>AK27/сред</f>
        <v>0.074</v>
      </c>
      <c r="AJ27" s="174"/>
      <c r="AK27" s="165">
        <f>SUM(G28:AG28)</f>
        <v>1.184</v>
      </c>
      <c r="AL27" s="166"/>
      <c r="AM27" s="158">
        <f>IF(AK27=0,0,AS117)</f>
        <v>110</v>
      </c>
      <c r="AN27" s="160">
        <f>AK27*AM27</f>
        <v>130.23999999999998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4" t="s">
        <v>213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  <v>1.184</v>
      </c>
      <c r="AA28" s="47">
        <f t="shared" si="7"/>
      </c>
      <c r="AB28" s="46"/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264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16</v>
      </c>
      <c r="B29" s="237"/>
      <c r="C29" s="237"/>
      <c r="D29" s="237"/>
      <c r="E29" s="238"/>
      <c r="F29" s="83" t="s">
        <v>212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/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4" t="s">
        <v>213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/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275</v>
      </c>
      <c r="B31" s="196"/>
      <c r="C31" s="196"/>
      <c r="D31" s="196"/>
      <c r="E31" s="197"/>
      <c r="F31" s="83" t="s">
        <v>212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/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4" t="s">
        <v>213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/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17</v>
      </c>
      <c r="B33" s="196"/>
      <c r="C33" s="196"/>
      <c r="D33" s="196"/>
      <c r="E33" s="197"/>
      <c r="F33" s="83" t="s">
        <v>212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/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2">
        <v>610036</v>
      </c>
      <c r="AI33" s="173">
        <f>AK33/сред</f>
        <v>0</v>
      </c>
      <c r="AJ33" s="174"/>
      <c r="AK33" s="165">
        <f>SUM(G34:AG34)</f>
        <v>0</v>
      </c>
      <c r="AL33" s="166"/>
      <c r="AM33" s="158">
        <f>IF(AK33=0,0,AV117)</f>
        <v>0</v>
      </c>
      <c r="AN33" s="160">
        <f>AK33*AM33</f>
        <v>0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4" t="s">
        <v>213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/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5</v>
      </c>
      <c r="B35" s="196"/>
      <c r="C35" s="196"/>
      <c r="D35" s="196"/>
      <c r="E35" s="197"/>
      <c r="F35" s="83" t="s">
        <v>212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/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4" t="s">
        <v>213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/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19</v>
      </c>
      <c r="B37" s="196"/>
      <c r="C37" s="196"/>
      <c r="D37" s="196"/>
      <c r="E37" s="197"/>
      <c r="F37" s="83" t="s">
        <v>212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88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/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2">
        <v>611008</v>
      </c>
      <c r="AI37" s="173">
        <f>AK37/сред</f>
        <v>0.088</v>
      </c>
      <c r="AJ37" s="174"/>
      <c r="AK37" s="165">
        <f>SUM(G38:AG38)</f>
        <v>1.408</v>
      </c>
      <c r="AL37" s="166"/>
      <c r="AM37" s="158">
        <f>IF(AK37=0,0,AX117)</f>
        <v>67</v>
      </c>
      <c r="AN37" s="160">
        <f>AK37*AM37</f>
        <v>94.336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4" t="s">
        <v>213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1.408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/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276</v>
      </c>
      <c r="B39" s="196"/>
      <c r="C39" s="196"/>
      <c r="D39" s="196"/>
      <c r="E39" s="197"/>
      <c r="F39" s="83" t="s">
        <v>212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/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4" t="s">
        <v>213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/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20</v>
      </c>
      <c r="B41" s="196"/>
      <c r="C41" s="196"/>
      <c r="D41" s="196"/>
      <c r="E41" s="197"/>
      <c r="F41" s="83" t="s">
        <v>212</v>
      </c>
      <c r="G41" s="91"/>
      <c r="H41" s="29">
        <v>10</v>
      </c>
      <c r="I41" s="28">
        <f>VLOOKUP(завтрак3,таб,10,FALSE)</f>
        <v>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/>
      <c r="P41" s="28"/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2">
        <v>612001</v>
      </c>
      <c r="AI41" s="173">
        <f>AK41/сред</f>
        <v>0.01</v>
      </c>
      <c r="AJ41" s="174"/>
      <c r="AK41" s="165">
        <f>SUM(G42:AG42)</f>
        <v>0.16</v>
      </c>
      <c r="AL41" s="166"/>
      <c r="AM41" s="158">
        <f>IF(AK41=0,0,AZ117)</f>
        <v>166</v>
      </c>
      <c r="AN41" s="160">
        <f>AK41*AM41</f>
        <v>26.560000000000002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4" t="s">
        <v>213</v>
      </c>
      <c r="G42" s="92">
        <f aca="true" t="shared" si="26" ref="G42:N42">IF(G41=0,"",завтракл*G41/1000)</f>
      </c>
      <c r="H42" s="47">
        <f t="shared" si="26"/>
        <v>0.16</v>
      </c>
      <c r="I42" s="46">
        <f t="shared" si="26"/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/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21</v>
      </c>
      <c r="B43" s="196"/>
      <c r="C43" s="196"/>
      <c r="D43" s="196"/>
      <c r="E43" s="197"/>
      <c r="F43" s="83" t="s">
        <v>212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/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4" t="s">
        <v>213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/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6</v>
      </c>
      <c r="B45" s="196"/>
      <c r="C45" s="196"/>
      <c r="D45" s="196"/>
      <c r="E45" s="197"/>
      <c r="F45" s="83" t="s">
        <v>212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/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4" t="s">
        <v>213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/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22</v>
      </c>
      <c r="B47" s="196"/>
      <c r="C47" s="196"/>
      <c r="D47" s="196"/>
      <c r="E47" s="197"/>
      <c r="F47" s="83" t="s">
        <v>212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5</v>
      </c>
      <c r="AA47" s="29">
        <f>VLOOKUP(ужин2,таб,13,FALSE)</f>
        <v>0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2">
        <v>612025</v>
      </c>
      <c r="AI47" s="173">
        <f>AK47/сред</f>
        <v>0.018</v>
      </c>
      <c r="AJ47" s="174"/>
      <c r="AK47" s="165">
        <f>SUM(G48:AG48)</f>
        <v>0.288</v>
      </c>
      <c r="AL47" s="166"/>
      <c r="AM47" s="158">
        <f>IF(AK47=0,0,BC117)</f>
        <v>35</v>
      </c>
      <c r="AN47" s="160">
        <f>AK47*AM47</f>
        <v>10.08</v>
      </c>
      <c r="AP47">
        <v>46</v>
      </c>
      <c r="AQ47" s="62" t="s">
        <v>306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4" t="s">
        <v>213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0.096</v>
      </c>
      <c r="P48" s="46">
        <f t="shared" si="36"/>
      </c>
      <c r="Q48" s="47">
        <f t="shared" si="36"/>
        <v>0.08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0.08</v>
      </c>
      <c r="AA48" s="47">
        <f t="shared" si="37"/>
      </c>
      <c r="AB48" s="46"/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23</v>
      </c>
      <c r="B49" s="196"/>
      <c r="C49" s="196"/>
      <c r="D49" s="196"/>
      <c r="E49" s="197"/>
      <c r="F49" s="83" t="s">
        <v>212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100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/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2">
        <v>612036</v>
      </c>
      <c r="AI49" s="173">
        <f>AK49/сред</f>
        <v>0.259</v>
      </c>
      <c r="AJ49" s="174"/>
      <c r="AK49" s="165">
        <f>SUM(G50:AG50)</f>
        <v>4.144</v>
      </c>
      <c r="AL49" s="166"/>
      <c r="AM49" s="158">
        <f>IF(AK49=0,0,BD117)</f>
        <v>21.8</v>
      </c>
      <c r="AN49" s="160">
        <f>AK49*AM49</f>
        <v>90.3392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4" t="s">
        <v>213</v>
      </c>
      <c r="G50" s="93">
        <f aca="true" t="shared" si="38" ref="G50:N50">IF(G49=0,"",завтракл*G49/1000)</f>
        <v>2.32</v>
      </c>
      <c r="H50" s="49">
        <f t="shared" si="38"/>
      </c>
      <c r="I50" s="45">
        <f t="shared" si="38"/>
      </c>
      <c r="J50" s="49">
        <f t="shared" si="38"/>
        <v>1.6</v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0.224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/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24</v>
      </c>
      <c r="B51" s="196"/>
      <c r="C51" s="196"/>
      <c r="D51" s="196"/>
      <c r="E51" s="197"/>
      <c r="F51" s="83" t="s">
        <v>212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/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4" t="s">
        <v>213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/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25</v>
      </c>
      <c r="B53" s="237"/>
      <c r="C53" s="237"/>
      <c r="D53" s="237"/>
      <c r="E53" s="238"/>
      <c r="F53" s="83" t="s">
        <v>212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/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2">
        <v>612053</v>
      </c>
      <c r="AI53" s="173">
        <f>AK53/сред</f>
        <v>0.208</v>
      </c>
      <c r="AJ53" s="174"/>
      <c r="AK53" s="165">
        <f>SUM(G54:AG54)</f>
        <v>3.328</v>
      </c>
      <c r="AL53" s="166"/>
      <c r="AM53" s="158">
        <f>IF(AK53=0,0,BF117)</f>
        <v>23</v>
      </c>
      <c r="AN53" s="160">
        <f>AK53*AM53</f>
        <v>76.544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4" t="s">
        <v>213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3.328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/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26</v>
      </c>
      <c r="B55" s="196"/>
      <c r="C55" s="196"/>
      <c r="D55" s="196"/>
      <c r="E55" s="197"/>
      <c r="F55" s="83" t="s">
        <v>212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/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2">
        <v>612060</v>
      </c>
      <c r="AI55" s="173">
        <f>AK55/сред</f>
        <v>0.025</v>
      </c>
      <c r="AJ55" s="174"/>
      <c r="AK55" s="165">
        <f>SUM(G56:AG56)</f>
        <v>0.4</v>
      </c>
      <c r="AL55" s="166"/>
      <c r="AM55" s="158">
        <f>IF(AK55=0,0,BG117)</f>
        <v>59</v>
      </c>
      <c r="AN55" s="160">
        <f>AK55*AM55</f>
        <v>23.6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4" t="s">
        <v>213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0.4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/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27</v>
      </c>
      <c r="B57" s="237"/>
      <c r="C57" s="237"/>
      <c r="D57" s="237"/>
      <c r="E57" s="238"/>
      <c r="F57" s="83" t="s">
        <v>212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18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/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2">
        <v>612087</v>
      </c>
      <c r="AI57" s="173">
        <f>AK57/сред</f>
        <v>0.018</v>
      </c>
      <c r="AJ57" s="174"/>
      <c r="AK57" s="165">
        <f>SUM(G58:AG58)</f>
        <v>0.288</v>
      </c>
      <c r="AL57" s="166"/>
      <c r="AM57" s="158">
        <f>IF(AK57=0,0,BH117)</f>
        <v>86</v>
      </c>
      <c r="AN57" s="160">
        <f>AK57*AM57</f>
        <v>24.767999999999997</v>
      </c>
      <c r="AP57">
        <v>56</v>
      </c>
      <c r="AQ57" s="62" t="s">
        <v>260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4" t="s">
        <v>213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0.288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/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28</v>
      </c>
      <c r="B59" s="196"/>
      <c r="C59" s="196"/>
      <c r="D59" s="196"/>
      <c r="E59" s="197"/>
      <c r="F59" s="83" t="s">
        <v>212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20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/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2">
        <v>612075</v>
      </c>
      <c r="AI59" s="173">
        <f>AK59/сред</f>
        <v>0.02</v>
      </c>
      <c r="AJ59" s="174"/>
      <c r="AK59" s="165">
        <f>SUM(G60:AG60)</f>
        <v>0.32</v>
      </c>
      <c r="AL59" s="166"/>
      <c r="AM59" s="158">
        <f>IF(AK59=0,0,BI117)</f>
        <v>165</v>
      </c>
      <c r="AN59" s="160">
        <f>AK59*AM59</f>
        <v>52.800000000000004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10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4" t="s">
        <v>213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  <v>0.32</v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/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29</v>
      </c>
      <c r="B61" s="196"/>
      <c r="C61" s="196"/>
      <c r="D61" s="196"/>
      <c r="E61" s="197"/>
      <c r="F61" s="83" t="s">
        <v>218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0.1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1</v>
      </c>
      <c r="AB61" s="35"/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2">
        <v>612064</v>
      </c>
      <c r="AI61" s="173">
        <f>AK61/сред</f>
        <v>1.2</v>
      </c>
      <c r="AJ61" s="174"/>
      <c r="AK61" s="169">
        <f>SUM(G62:AG62)</f>
        <v>19.2</v>
      </c>
      <c r="AL61" s="170"/>
      <c r="AM61" s="158">
        <f>IF(AK61=0,0,BJ117)</f>
        <v>1.99</v>
      </c>
      <c r="AN61" s="160">
        <f>AK61*AM61</f>
        <v>38.208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4" t="s">
        <v>218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  <v>1.6</v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1.6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16</v>
      </c>
      <c r="AB62" s="24"/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>
        <v>15025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30</v>
      </c>
      <c r="B63" s="237"/>
      <c r="C63" s="237"/>
      <c r="D63" s="237"/>
      <c r="E63" s="238"/>
      <c r="F63" s="83" t="s">
        <v>212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/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2">
        <v>612112</v>
      </c>
      <c r="AI63" s="173">
        <f>AK63/сред</f>
        <v>0</v>
      </c>
      <c r="AJ63" s="174"/>
      <c r="AK63" s="165">
        <f>SUM(G64:AG64)</f>
        <v>0</v>
      </c>
      <c r="AL63" s="166"/>
      <c r="AM63" s="158">
        <f>IF(AK63=0,0,BK117)</f>
        <v>0</v>
      </c>
      <c r="AN63" s="160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4" t="s">
        <v>213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/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265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315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148</v>
      </c>
      <c r="B65" s="196"/>
      <c r="C65" s="196"/>
      <c r="D65" s="196"/>
      <c r="E65" s="197"/>
      <c r="F65" s="83" t="s">
        <v>212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40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/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2">
        <v>613001</v>
      </c>
      <c r="AI65" s="173">
        <f>AK65/сред</f>
        <v>0.04</v>
      </c>
      <c r="AJ65" s="174"/>
      <c r="AK65" s="165">
        <f>SUM(G66:AG66)</f>
        <v>0.64</v>
      </c>
      <c r="AL65" s="166"/>
      <c r="AM65" s="158">
        <f>IF(AK65=0,0,BL117)</f>
        <v>9.2</v>
      </c>
      <c r="AN65" s="160">
        <f>AK65*AM65</f>
        <v>5.888</v>
      </c>
      <c r="AP65">
        <v>64</v>
      </c>
      <c r="AQ65" s="62" t="s">
        <v>266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4" t="s">
        <v>213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0.64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/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267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315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31</v>
      </c>
      <c r="B67" s="237"/>
      <c r="C67" s="237"/>
      <c r="D67" s="237"/>
      <c r="E67" s="238"/>
      <c r="F67" s="83" t="s">
        <v>212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/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0.128</v>
      </c>
      <c r="AL67" s="166"/>
      <c r="AM67" s="158">
        <f>IF(AK67=0,0,BM117)</f>
        <v>62.57</v>
      </c>
      <c r="AN67" s="160">
        <f>AK67*AM67</f>
        <v>8.00896</v>
      </c>
      <c r="AP67">
        <v>66</v>
      </c>
      <c r="AQ67" s="62" t="s">
        <v>268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318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4" t="s">
        <v>213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/>
      <c r="AC68" s="49">
        <f t="shared" si="67"/>
      </c>
      <c r="AD68" s="45">
        <f t="shared" si="67"/>
      </c>
      <c r="AE68" s="49">
        <f t="shared" si="67"/>
        <v>0.128</v>
      </c>
      <c r="AF68" s="45">
        <f t="shared" si="67"/>
      </c>
      <c r="AG68" s="78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269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32</v>
      </c>
      <c r="B69" s="196"/>
      <c r="C69" s="196"/>
      <c r="D69" s="196"/>
      <c r="E69" s="197"/>
      <c r="F69" s="83" t="s">
        <v>212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/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2">
        <v>613029</v>
      </c>
      <c r="AI69" s="173">
        <f>AK69/сред</f>
        <v>0</v>
      </c>
      <c r="AJ69" s="174"/>
      <c r="AK69" s="165">
        <f>SUM(G70:AG70)</f>
        <v>0</v>
      </c>
      <c r="AL69" s="166"/>
      <c r="AM69" s="158">
        <f>IF(AK69=0,0,BN117)</f>
        <v>0</v>
      </c>
      <c r="AN69" s="160">
        <f>AK69*AM69</f>
        <v>0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4" t="s">
        <v>213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/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33</v>
      </c>
      <c r="B71" s="237"/>
      <c r="C71" s="237"/>
      <c r="D71" s="237"/>
      <c r="E71" s="238"/>
      <c r="F71" s="83" t="s">
        <v>212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/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2">
        <v>613036</v>
      </c>
      <c r="AI71" s="173">
        <f>AK71/сред</f>
        <v>0.045</v>
      </c>
      <c r="AJ71" s="174"/>
      <c r="AK71" s="165">
        <f>SUM(G72:AG72)</f>
        <v>0.72</v>
      </c>
      <c r="AL71" s="166"/>
      <c r="AM71" s="158">
        <f>IF(AK71=0,0,BO117)</f>
        <v>12.1</v>
      </c>
      <c r="AN71" s="160">
        <f>AK71*AM71</f>
        <v>8.712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4" t="s">
        <v>213</v>
      </c>
      <c r="G72" s="93">
        <f aca="true" t="shared" si="71" ref="G72:N72">IF(G71=0,"",завтракл*G71/1000)</f>
        <v>0.72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/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37</v>
      </c>
      <c r="B73" s="196"/>
      <c r="C73" s="196"/>
      <c r="D73" s="196"/>
      <c r="E73" s="197"/>
      <c r="F73" s="83" t="s">
        <v>212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/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2"/>
      <c r="AI73" s="173">
        <f>AK73/сред</f>
        <v>0</v>
      </c>
      <c r="AJ73" s="174"/>
      <c r="AK73" s="165">
        <f>SUM(G74:AG74)</f>
        <v>0</v>
      </c>
      <c r="AL73" s="166"/>
      <c r="AM73" s="158">
        <f>IF(AK73=0,0,BP117)</f>
        <v>0</v>
      </c>
      <c r="AN73" s="160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4" t="s">
        <v>213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/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165</v>
      </c>
      <c r="B75" s="196"/>
      <c r="C75" s="196"/>
      <c r="D75" s="196"/>
      <c r="E75" s="197"/>
      <c r="F75" s="83" t="s">
        <v>212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/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4" t="s">
        <v>213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/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166</v>
      </c>
      <c r="B77" s="237"/>
      <c r="C77" s="237"/>
      <c r="D77" s="237"/>
      <c r="E77" s="238"/>
      <c r="F77" s="83" t="s">
        <v>212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/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4" t="s">
        <v>213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/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272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167</v>
      </c>
      <c r="B79" s="196"/>
      <c r="C79" s="196"/>
      <c r="D79" s="196"/>
      <c r="E79" s="197"/>
      <c r="F79" s="83" t="s">
        <v>212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/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4" t="s">
        <v>213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/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34</v>
      </c>
      <c r="B81" s="237"/>
      <c r="C81" s="237"/>
      <c r="D81" s="237"/>
      <c r="E81" s="238"/>
      <c r="F81" s="83" t="s">
        <v>212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/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4" t="s">
        <v>213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/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36</v>
      </c>
      <c r="B83" s="196"/>
      <c r="C83" s="196"/>
      <c r="D83" s="196"/>
      <c r="E83" s="197"/>
      <c r="F83" s="83" t="s">
        <v>212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/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4" t="s">
        <v>213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/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9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35</v>
      </c>
      <c r="B85" s="237"/>
      <c r="C85" s="237"/>
      <c r="D85" s="237"/>
      <c r="E85" s="238"/>
      <c r="F85" s="83" t="s">
        <v>212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/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4" t="s">
        <v>213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/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270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0</v>
      </c>
      <c r="B87" s="196"/>
      <c r="C87" s="196"/>
      <c r="D87" s="196"/>
      <c r="E87" s="197"/>
      <c r="F87" s="83" t="s">
        <v>212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/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315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4" t="s">
        <v>213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/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318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1</v>
      </c>
      <c r="B91" s="237"/>
      <c r="C91" s="237"/>
      <c r="D91" s="237"/>
      <c r="E91" s="238"/>
      <c r="F91" s="83" t="s">
        <v>212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/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2">
        <v>613072</v>
      </c>
      <c r="AI91" s="283">
        <f>AK91/сред</f>
        <v>0.02</v>
      </c>
      <c r="AJ91" s="284"/>
      <c r="AK91" s="165">
        <f>SUM(G92:AG92)</f>
        <v>0.32</v>
      </c>
      <c r="AL91" s="166"/>
      <c r="AM91" s="158">
        <f>IF(AK91=0,0,BU117)</f>
        <v>11</v>
      </c>
      <c r="AN91" s="160">
        <f>AK91*AM91</f>
        <v>3.52</v>
      </c>
      <c r="AP91">
        <v>90</v>
      </c>
      <c r="AQ91" s="62" t="s">
        <v>271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318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4" t="s">
        <v>213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  <v>0.32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/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261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315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282</v>
      </c>
      <c r="B93" s="196"/>
      <c r="C93" s="196"/>
      <c r="D93" s="196"/>
      <c r="E93" s="197"/>
      <c r="F93" s="83" t="s">
        <v>212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/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317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4" t="s">
        <v>213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/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154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283</v>
      </c>
      <c r="B95" s="237"/>
      <c r="C95" s="237"/>
      <c r="D95" s="237"/>
      <c r="E95" s="238"/>
      <c r="F95" s="83" t="s">
        <v>212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/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155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4" t="s">
        <v>213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/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156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319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38</v>
      </c>
      <c r="B97" s="196"/>
      <c r="C97" s="196"/>
      <c r="D97" s="196"/>
      <c r="E97" s="197"/>
      <c r="F97" s="83" t="s">
        <v>212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20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19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/>
      <c r="AC97" s="34">
        <f>VLOOKUP(ужин4,таб,33,FALSE)</f>
        <v>0</v>
      </c>
      <c r="AD97" s="35">
        <f>VLOOKUP(ужин5,таб,33,FALSE)</f>
        <v>0</v>
      </c>
      <c r="AE97" s="34">
        <v>21</v>
      </c>
      <c r="AF97" s="35">
        <f>VLOOKUP(ужин7,таб,33,FALSE)</f>
        <v>0</v>
      </c>
      <c r="AG97" s="80">
        <f>VLOOKUP(ужин8,таб,33,FALSE)</f>
        <v>0</v>
      </c>
      <c r="AH97" s="162">
        <v>614002</v>
      </c>
      <c r="AI97" s="173">
        <f>AK97/сред</f>
        <v>0.07</v>
      </c>
      <c r="AJ97" s="174"/>
      <c r="AK97" s="165">
        <f>SUM(G98:AG98)</f>
        <v>1.12</v>
      </c>
      <c r="AL97" s="166"/>
      <c r="AM97" s="158">
        <f>IF(AK97=0,0,BW117)</f>
        <v>14</v>
      </c>
      <c r="AN97" s="160">
        <f>AK97*AM97</f>
        <v>15.680000000000001</v>
      </c>
      <c r="AP97">
        <v>96</v>
      </c>
      <c r="AQ97" s="62" t="s">
        <v>157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4" t="s">
        <v>213</v>
      </c>
      <c r="G98" s="92">
        <f aca="true" t="shared" si="107" ref="G98:N98">IF(G97=0,"",завтракл*G97/1000)</f>
        <v>0.16</v>
      </c>
      <c r="H98" s="47">
        <f t="shared" si="107"/>
      </c>
      <c r="I98" s="46">
        <f t="shared" si="107"/>
      </c>
      <c r="J98" s="47">
        <f t="shared" si="107"/>
        <v>0.32</v>
      </c>
      <c r="K98" s="46">
        <f t="shared" si="107"/>
      </c>
      <c r="L98" s="46">
        <f t="shared" si="107"/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0.304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/>
      <c r="AC98" s="47">
        <f t="shared" si="109"/>
      </c>
      <c r="AD98" s="46">
        <f t="shared" si="109"/>
      </c>
      <c r="AE98" s="47">
        <f t="shared" si="109"/>
        <v>0.336</v>
      </c>
      <c r="AF98" s="46">
        <f t="shared" si="109"/>
      </c>
      <c r="AG98" s="73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158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40</v>
      </c>
      <c r="B99" s="237"/>
      <c r="C99" s="237"/>
      <c r="D99" s="237"/>
      <c r="E99" s="238"/>
      <c r="F99" s="83" t="s">
        <v>212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/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159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4" t="s">
        <v>213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/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160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41</v>
      </c>
      <c r="B101" s="196"/>
      <c r="C101" s="196"/>
      <c r="D101" s="196"/>
      <c r="E101" s="197"/>
      <c r="F101" s="83" t="s">
        <v>212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/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161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320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4" t="s">
        <v>213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/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3"/>
      <c r="AI102" s="173"/>
      <c r="AJ102" s="174"/>
      <c r="AK102" s="167"/>
      <c r="AL102" s="168"/>
      <c r="AM102" s="159"/>
      <c r="AN102" s="161"/>
      <c r="AP102" t="s">
        <v>163</v>
      </c>
      <c r="AQ102" s="62" t="s">
        <v>162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326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42</v>
      </c>
      <c r="B103" s="237"/>
      <c r="C103" s="237"/>
      <c r="D103" s="237"/>
      <c r="E103" s="238"/>
      <c r="F103" s="83" t="s">
        <v>212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/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2">
        <v>614044</v>
      </c>
      <c r="AI103" s="173">
        <f>AK103/сред</f>
        <v>0</v>
      </c>
      <c r="AJ103" s="174"/>
      <c r="AK103" s="165">
        <f>SUM(G104:AG104)</f>
        <v>0</v>
      </c>
      <c r="AL103" s="166"/>
      <c r="AM103" s="158">
        <f>IF(AK103=0,0,BZ117)</f>
        <v>0</v>
      </c>
      <c r="AN103" s="160">
        <f>AK103*AM103</f>
        <v>0</v>
      </c>
      <c r="AQ103" s="62" t="s">
        <v>170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322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4" t="s">
        <v>213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/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171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43</v>
      </c>
      <c r="B105" s="196"/>
      <c r="C105" s="196"/>
      <c r="D105" s="196"/>
      <c r="E105" s="197"/>
      <c r="F105" s="83" t="s">
        <v>212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/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2">
        <v>614074</v>
      </c>
      <c r="AI105" s="173">
        <f>AK105/сред</f>
        <v>0.035</v>
      </c>
      <c r="AJ105" s="174"/>
      <c r="AK105" s="165">
        <f>SUM(G106:AG106)</f>
        <v>0.56</v>
      </c>
      <c r="AL105" s="166"/>
      <c r="AM105" s="158">
        <f>IF(AK105=0,0,CA117)</f>
        <v>47</v>
      </c>
      <c r="AN105" s="160">
        <f>AK105*AM105</f>
        <v>26.320000000000004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4" t="s">
        <v>213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/>
      <c r="AC106" s="47">
        <f t="shared" si="121"/>
        <v>0.56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44</v>
      </c>
      <c r="B107" s="196"/>
      <c r="C107" s="196"/>
      <c r="D107" s="196"/>
      <c r="E107" s="197"/>
      <c r="F107" s="83" t="s">
        <v>212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/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2">
        <v>615027</v>
      </c>
      <c r="AI107" s="173">
        <f>AK107/сред</f>
        <v>0.012</v>
      </c>
      <c r="AJ107" s="174"/>
      <c r="AK107" s="165">
        <f>SUM(G108:AG108)</f>
        <v>0.192</v>
      </c>
      <c r="AL107" s="166"/>
      <c r="AM107" s="158">
        <f>IF(AK107=0,0,CB117)</f>
        <v>48</v>
      </c>
      <c r="AN107" s="160">
        <f>AK107*AM107</f>
        <v>9.216000000000001</v>
      </c>
      <c r="AQ107" s="62" t="s">
        <v>174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4" t="s">
        <v>213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/>
      <c r="AC108" s="47">
        <f t="shared" si="124"/>
      </c>
      <c r="AD108" s="46">
        <f t="shared" si="124"/>
      </c>
      <c r="AE108" s="47">
        <f t="shared" si="124"/>
        <v>0.192</v>
      </c>
      <c r="AF108" s="46">
        <f t="shared" si="124"/>
      </c>
      <c r="AG108" s="73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321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262</v>
      </c>
      <c r="B109" s="237"/>
      <c r="C109" s="237"/>
      <c r="D109" s="237"/>
      <c r="E109" s="238"/>
      <c r="F109" s="83" t="s">
        <v>212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/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321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4" t="s">
        <v>213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/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177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45</v>
      </c>
      <c r="B111" s="196"/>
      <c r="C111" s="196"/>
      <c r="D111" s="196"/>
      <c r="E111" s="197"/>
      <c r="F111" s="83" t="s">
        <v>212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/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2"/>
      <c r="AI111" s="173">
        <f>AK111/сред</f>
        <v>0.2</v>
      </c>
      <c r="AJ111" s="174"/>
      <c r="AK111" s="165">
        <f>SUM(G112:AG112)</f>
        <v>3.2</v>
      </c>
      <c r="AL111" s="166"/>
      <c r="AM111" s="158">
        <f>IF(AK111=0,0,CD117)</f>
        <v>17</v>
      </c>
      <c r="AN111" s="160">
        <f>AK111*AM111</f>
        <v>54.400000000000006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4" t="s">
        <v>213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3.2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/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46</v>
      </c>
      <c r="B113" s="196"/>
      <c r="C113" s="196"/>
      <c r="D113" s="196"/>
      <c r="E113" s="197"/>
      <c r="F113" s="83" t="s">
        <v>212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/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4" t="s">
        <v>213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/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238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47</v>
      </c>
      <c r="B115" s="196"/>
      <c r="C115" s="196"/>
      <c r="D115" s="196"/>
      <c r="E115" s="197"/>
      <c r="F115" s="83" t="s">
        <v>212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/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2">
        <v>615054</v>
      </c>
      <c r="AI115" s="173">
        <f>AK115/сред</f>
        <v>0.3</v>
      </c>
      <c r="AJ115" s="174"/>
      <c r="AK115" s="165">
        <f>SUM(G116:AG116)</f>
        <v>4.8</v>
      </c>
      <c r="AL115" s="166"/>
      <c r="AM115" s="158">
        <f>IF(AK115=0,0,CF117)</f>
        <v>14.5</v>
      </c>
      <c r="AN115" s="160">
        <f>AM115*AK115</f>
        <v>69.6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238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4" t="s">
        <v>213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4.8</v>
      </c>
      <c r="M116" s="46">
        <f t="shared" si="134"/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/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3"/>
      <c r="AI116" s="173"/>
      <c r="AJ116" s="174"/>
      <c r="AK116" s="167"/>
      <c r="AL116" s="168"/>
      <c r="AM116" s="159"/>
      <c r="AN116" s="161"/>
      <c r="AQ116" s="63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8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8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279</v>
      </c>
      <c r="B117" s="237"/>
      <c r="C117" s="237"/>
      <c r="D117" s="237"/>
      <c r="E117" s="238"/>
      <c r="F117" s="83" t="s">
        <v>212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/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63" t="s">
        <v>239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16</v>
      </c>
    </row>
    <row r="118" spans="1:129" ht="30.75" customHeight="1">
      <c r="A118" s="239"/>
      <c r="B118" s="239"/>
      <c r="C118" s="239"/>
      <c r="D118" s="239"/>
      <c r="E118" s="240"/>
      <c r="F118" s="84" t="s">
        <v>213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/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3"/>
      <c r="AI118" s="173"/>
      <c r="AJ118" s="174"/>
      <c r="AK118" s="167"/>
      <c r="AL118" s="168"/>
      <c r="AM118" s="159"/>
      <c r="AN118" s="161"/>
      <c r="AQ118" s="61"/>
      <c r="AR118" s="61" t="s">
        <v>15</v>
      </c>
      <c r="AS118" s="61" t="s">
        <v>8</v>
      </c>
      <c r="AT118" s="61" t="s">
        <v>16</v>
      </c>
      <c r="AU118" s="61" t="s">
        <v>275</v>
      </c>
      <c r="AV118" s="61" t="s">
        <v>17</v>
      </c>
      <c r="AW118" s="61" t="s">
        <v>5</v>
      </c>
      <c r="AX118" s="61" t="s">
        <v>19</v>
      </c>
      <c r="AY118" s="61" t="s">
        <v>276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283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262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314</v>
      </c>
      <c r="CK118" s="61" t="s">
        <v>273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240</v>
      </c>
      <c r="CR118" s="61" t="s">
        <v>241</v>
      </c>
      <c r="CS118" s="61" t="s">
        <v>57</v>
      </c>
      <c r="CT118" s="61" t="s">
        <v>280</v>
      </c>
      <c r="CU118" s="61" t="s">
        <v>281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247</v>
      </c>
      <c r="DG118" s="61" t="s">
        <v>282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279</v>
      </c>
      <c r="DN118" s="61" t="s">
        <v>313</v>
      </c>
      <c r="DO118" s="61" t="s">
        <v>306</v>
      </c>
      <c r="DP118" s="61" t="s">
        <v>249</v>
      </c>
      <c r="DQ118" s="61" t="s">
        <v>219</v>
      </c>
      <c r="DR118" s="61" t="s">
        <v>249</v>
      </c>
      <c r="DS118" s="61" t="s">
        <v>219</v>
      </c>
      <c r="DT118" s="61"/>
      <c r="DU118" s="61"/>
      <c r="DV118" s="61"/>
      <c r="DW118" s="61"/>
      <c r="DX118" s="61" t="s">
        <v>274</v>
      </c>
      <c r="DY118" s="61" t="s">
        <v>327</v>
      </c>
    </row>
    <row r="119" spans="1:128" ht="30.75" customHeight="1">
      <c r="A119" s="196" t="s">
        <v>327</v>
      </c>
      <c r="B119" s="196"/>
      <c r="C119" s="196"/>
      <c r="D119" s="196"/>
      <c r="E119" s="197"/>
      <c r="F119" s="83" t="s">
        <v>212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v>10</v>
      </c>
      <c r="AA119" s="34">
        <f>VLOOKUP(ужин2,таб,76,FALSE)</f>
        <v>0</v>
      </c>
      <c r="AB119" s="35"/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2"/>
      <c r="AI119" s="173">
        <f>AK119/сред</f>
        <v>0.01</v>
      </c>
      <c r="AJ119" s="174"/>
      <c r="AK119" s="165">
        <f>SUM(G120:AG120)</f>
        <v>0.16</v>
      </c>
      <c r="AL119" s="166"/>
      <c r="AM119" s="158">
        <v>16</v>
      </c>
      <c r="AN119" s="160">
        <v>3.52</v>
      </c>
      <c r="AQ119" s="61" t="s">
        <v>233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4" t="s">
        <v>213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  <v>0.16</v>
      </c>
      <c r="AA120" s="47">
        <f t="shared" si="142"/>
      </c>
      <c r="AB120" s="46"/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235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308</v>
      </c>
      <c r="B121" s="237"/>
      <c r="C121" s="237"/>
      <c r="D121" s="237"/>
      <c r="E121" s="238"/>
      <c r="F121" s="83" t="s">
        <v>212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/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236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4" t="s">
        <v>213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/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237</v>
      </c>
      <c r="CE122" s="97">
        <v>25</v>
      </c>
      <c r="DE122" s="61">
        <v>25</v>
      </c>
    </row>
    <row r="123" spans="1:43" ht="30.75" customHeight="1">
      <c r="A123" s="196" t="s">
        <v>274</v>
      </c>
      <c r="B123" s="196"/>
      <c r="C123" s="196"/>
      <c r="D123" s="196"/>
      <c r="E123" s="197"/>
      <c r="F123" s="83" t="s">
        <v>212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/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4" t="s">
        <v>213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/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242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321</v>
      </c>
    </row>
    <row r="125" spans="1:109" ht="30.75" customHeight="1">
      <c r="A125" s="237" t="s">
        <v>48</v>
      </c>
      <c r="B125" s="237"/>
      <c r="C125" s="237"/>
      <c r="D125" s="237"/>
      <c r="E125" s="238"/>
      <c r="F125" s="83" t="s">
        <v>212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276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/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2">
        <v>615078</v>
      </c>
      <c r="AI125" s="173">
        <f>AK125/сред</f>
        <v>0.62</v>
      </c>
      <c r="AJ125" s="174"/>
      <c r="AK125" s="165">
        <f>SUM(G126:AG126)</f>
        <v>9.92</v>
      </c>
      <c r="AL125" s="166"/>
      <c r="AM125" s="158">
        <f>IF(AK125=0,0,CG117)</f>
        <v>6.5</v>
      </c>
      <c r="AN125" s="160">
        <f>AK125*AM125</f>
        <v>64.48</v>
      </c>
      <c r="AQ125" s="61" t="s">
        <v>243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4" t="s">
        <v>213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2.192</v>
      </c>
      <c r="P126" s="45">
        <f t="shared" si="150"/>
        <v>4.416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3.312</v>
      </c>
      <c r="AA126" s="49">
        <f>IF(AA125=0,"",ужинл*AA125/1000)</f>
      </c>
      <c r="AB126" s="45"/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244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315</v>
      </c>
    </row>
    <row r="127" spans="1:109" ht="30.75" customHeight="1">
      <c r="A127" s="196" t="s">
        <v>49</v>
      </c>
      <c r="B127" s="196"/>
      <c r="C127" s="196"/>
      <c r="D127" s="196"/>
      <c r="E127" s="197"/>
      <c r="F127" s="83" t="s">
        <v>212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160</v>
      </c>
      <c r="AA127" s="34">
        <f>VLOOKUP(ужин2,таб,44,FALSE)</f>
        <v>0</v>
      </c>
      <c r="AB127" s="35"/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2">
        <v>615079</v>
      </c>
      <c r="AI127" s="173">
        <f>AK127/сред</f>
        <v>0.16</v>
      </c>
      <c r="AJ127" s="174"/>
      <c r="AK127" s="165">
        <f>SUM(G128:AG128)</f>
        <v>2.56</v>
      </c>
      <c r="AL127" s="166"/>
      <c r="AM127" s="158">
        <f>IF(AK127=0,0,CH117)</f>
        <v>7.2</v>
      </c>
      <c r="AN127" s="160">
        <f>AK127*AM127</f>
        <v>18.432000000000002</v>
      </c>
      <c r="AQ127" s="61" t="s">
        <v>245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4" t="s">
        <v>213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2.56</v>
      </c>
      <c r="AA128" s="47">
        <f t="shared" si="154"/>
      </c>
      <c r="AB128" s="46"/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246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50</v>
      </c>
      <c r="B129" s="237"/>
      <c r="C129" s="237"/>
      <c r="D129" s="237"/>
      <c r="E129" s="238"/>
      <c r="F129" s="83" t="s">
        <v>212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15</v>
      </c>
      <c r="AA129" s="37">
        <f>VLOOKUP(ужин2,таб,45,FALSE)</f>
        <v>0</v>
      </c>
      <c r="AB129" s="38"/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2">
        <v>616062</v>
      </c>
      <c r="AI129" s="173">
        <f>AK129/сред</f>
        <v>0.081</v>
      </c>
      <c r="AJ129" s="174"/>
      <c r="AK129" s="165">
        <f>SUM(G130:AG130)</f>
        <v>1.296</v>
      </c>
      <c r="AL129" s="166"/>
      <c r="AM129" s="158">
        <f>IF(AK129=0,0,CI117)</f>
        <v>6.5</v>
      </c>
      <c r="AN129" s="160">
        <f>AK129*AM129</f>
        <v>8.424</v>
      </c>
      <c r="AQ129" s="61" t="s">
        <v>248</v>
      </c>
      <c r="AR129" s="61"/>
      <c r="AS129" s="61"/>
      <c r="AT129" s="99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4" t="s">
        <v>213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0.24</v>
      </c>
      <c r="P130" s="45">
        <f t="shared" si="156"/>
      </c>
      <c r="Q130" s="49">
        <f t="shared" si="156"/>
        <v>0.24</v>
      </c>
      <c r="R130" s="45">
        <f t="shared" si="156"/>
        <v>0.576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0.24</v>
      </c>
      <c r="AA130" s="49">
        <f t="shared" si="157"/>
      </c>
      <c r="AB130" s="45"/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250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51</v>
      </c>
      <c r="B131" s="196"/>
      <c r="C131" s="196"/>
      <c r="D131" s="196"/>
      <c r="E131" s="197"/>
      <c r="F131" s="83" t="s">
        <v>212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15</v>
      </c>
      <c r="AA131" s="34">
        <f>VLOOKUP(ужин2,таб,46,FALSE)</f>
        <v>0</v>
      </c>
      <c r="AB131" s="35"/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2">
        <v>615084</v>
      </c>
      <c r="AI131" s="173">
        <f>AK131/сред</f>
        <v>0.03</v>
      </c>
      <c r="AJ131" s="174"/>
      <c r="AK131" s="165">
        <f>SUM(G132:AG132)</f>
        <v>0.48</v>
      </c>
      <c r="AL131" s="166"/>
      <c r="AM131" s="158">
        <f>IF(AK131=0,0,CJ117)</f>
        <v>12.5</v>
      </c>
      <c r="AN131" s="160">
        <f>AK131*AM131</f>
        <v>6</v>
      </c>
      <c r="AQ131" s="61" t="s">
        <v>251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4" t="s">
        <v>213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0.24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0.24</v>
      </c>
      <c r="AA132" s="47">
        <f t="shared" si="160"/>
      </c>
      <c r="AB132" s="46"/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252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273</v>
      </c>
      <c r="B133" s="237"/>
      <c r="C133" s="237"/>
      <c r="D133" s="237"/>
      <c r="E133" s="238"/>
      <c r="F133" s="83" t="s">
        <v>212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/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253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4" t="s">
        <v>213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/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254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82</v>
      </c>
      <c r="B135" s="310"/>
      <c r="C135" s="310"/>
      <c r="D135" s="310"/>
      <c r="E135" s="310"/>
      <c r="F135" s="83" t="s">
        <v>212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/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263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4" t="s">
        <v>213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/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255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52</v>
      </c>
      <c r="B137" s="237"/>
      <c r="C137" s="237"/>
      <c r="D137" s="237"/>
      <c r="E137" s="238"/>
      <c r="F137" s="83" t="s">
        <v>212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/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2">
        <v>615094</v>
      </c>
      <c r="AI137" s="173">
        <f>AK137/сред</f>
        <v>0.16</v>
      </c>
      <c r="AJ137" s="174"/>
      <c r="AK137" s="165">
        <f>SUM(G138:AG138)</f>
        <v>2.56</v>
      </c>
      <c r="AL137" s="166"/>
      <c r="AM137" s="158">
        <f>IF(AK137=0,0,CO117)</f>
        <v>7.1</v>
      </c>
      <c r="AN137" s="160">
        <f>AK137*AM137</f>
        <v>18.176</v>
      </c>
      <c r="AQ137" s="61" t="s">
        <v>256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4" t="s">
        <v>213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2.56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/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257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320</v>
      </c>
    </row>
    <row r="139" spans="1:109" ht="30.75" customHeight="1">
      <c r="A139" s="259" t="s">
        <v>83</v>
      </c>
      <c r="B139" s="259"/>
      <c r="C139" s="259"/>
      <c r="D139" s="259"/>
      <c r="E139" s="260"/>
      <c r="F139" s="83" t="s">
        <v>212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v>150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2"/>
      <c r="AI139" s="173">
        <f>AK139/сред</f>
        <v>0.15</v>
      </c>
      <c r="AJ139" s="174"/>
      <c r="AK139" s="165">
        <f>SUM(G140:AG140)</f>
        <v>2.4</v>
      </c>
      <c r="AL139" s="166"/>
      <c r="AM139" s="158">
        <f>IF(AK139=0,0,CN117)</f>
        <v>5.8</v>
      </c>
      <c r="AN139" s="160">
        <f>AK139*AM139</f>
        <v>13.92</v>
      </c>
      <c r="AQ139" s="61" t="s">
        <v>258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320</v>
      </c>
    </row>
    <row r="140" spans="1:109" ht="30.75" customHeight="1">
      <c r="A140" s="259"/>
      <c r="B140" s="259"/>
      <c r="C140" s="259"/>
      <c r="D140" s="259"/>
      <c r="E140" s="260"/>
      <c r="F140" s="84" t="s">
        <v>213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  <v>2.4</v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3"/>
      <c r="AI140" s="173"/>
      <c r="AJ140" s="174"/>
      <c r="AK140" s="167"/>
      <c r="AL140" s="168"/>
      <c r="AM140" s="159"/>
      <c r="AN140" s="161"/>
      <c r="AQ140" s="97" t="s">
        <v>273</v>
      </c>
      <c r="CK140">
        <v>100</v>
      </c>
      <c r="DE140" s="61">
        <v>100</v>
      </c>
    </row>
    <row r="141" spans="1:109" ht="30.75" customHeight="1">
      <c r="A141" s="237" t="s">
        <v>53</v>
      </c>
      <c r="B141" s="237"/>
      <c r="C141" s="237"/>
      <c r="D141" s="237"/>
      <c r="E141" s="238"/>
      <c r="F141" s="83" t="s">
        <v>212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v>2</v>
      </c>
      <c r="AA141" s="37">
        <f>VLOOKUP(ужин2,таб,49,FALSE)</f>
        <v>0</v>
      </c>
      <c r="AB141" s="38"/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2"/>
      <c r="AI141" s="173">
        <f>AK141/сред</f>
        <v>0.002</v>
      </c>
      <c r="AJ141" s="174"/>
      <c r="AK141" s="165">
        <f>SUM(G142:AG142)</f>
        <v>0.032</v>
      </c>
      <c r="AL141" s="166"/>
      <c r="AM141" s="158">
        <f>IF(AK141=0,0,CM117)</f>
        <v>57</v>
      </c>
      <c r="AN141" s="160">
        <f>AK141*AM141</f>
        <v>1.824</v>
      </c>
      <c r="AQ141" s="61" t="s">
        <v>275</v>
      </c>
      <c r="AU141" s="97">
        <v>18</v>
      </c>
      <c r="DE141" s="61">
        <v>18</v>
      </c>
    </row>
    <row r="142" spans="1:109" ht="30.75" customHeight="1">
      <c r="A142" s="239"/>
      <c r="B142" s="239"/>
      <c r="C142" s="239"/>
      <c r="D142" s="239"/>
      <c r="E142" s="240"/>
      <c r="F142" s="84" t="s">
        <v>213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0.032</v>
      </c>
      <c r="AA142" s="49">
        <f t="shared" si="175"/>
      </c>
      <c r="AB142" s="45"/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3"/>
      <c r="AI142" s="173"/>
      <c r="AJ142" s="174"/>
      <c r="AK142" s="167"/>
      <c r="AL142" s="168"/>
      <c r="AM142" s="159"/>
      <c r="AN142" s="161"/>
      <c r="AQ142" t="s">
        <v>276</v>
      </c>
      <c r="AY142">
        <v>150</v>
      </c>
      <c r="DE142" s="61">
        <v>150</v>
      </c>
    </row>
    <row r="143" spans="1:109" ht="30.75" customHeight="1">
      <c r="A143" s="196" t="s">
        <v>92</v>
      </c>
      <c r="B143" s="196"/>
      <c r="C143" s="196"/>
      <c r="D143" s="196"/>
      <c r="E143" s="197"/>
      <c r="F143" s="83" t="s">
        <v>212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/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2"/>
      <c r="AI143" s="173">
        <f>AK143/сред</f>
        <v>0</v>
      </c>
      <c r="AJ143" s="174"/>
      <c r="AK143" s="165">
        <f>SUM(G144:AG144)</f>
        <v>0</v>
      </c>
      <c r="AL143" s="166"/>
      <c r="AM143" s="158">
        <f>IF(AK143=0,0,DF117)</f>
        <v>0</v>
      </c>
      <c r="AN143" s="160">
        <f>AK143*AM143</f>
        <v>0</v>
      </c>
      <c r="AQ143" s="61" t="s">
        <v>277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4" t="s">
        <v>213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/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3"/>
      <c r="AI144" s="173"/>
      <c r="AJ144" s="174"/>
      <c r="AK144" s="167"/>
      <c r="AL144" s="168"/>
      <c r="AM144" s="159"/>
      <c r="AN144" s="161"/>
      <c r="AQ144" s="97" t="s">
        <v>278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54</v>
      </c>
      <c r="B145" s="237"/>
      <c r="C145" s="237"/>
      <c r="D145" s="237"/>
      <c r="E145" s="238"/>
      <c r="F145" s="83" t="s">
        <v>212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/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2"/>
      <c r="AI145" s="173">
        <f>AK145/сред</f>
        <v>0</v>
      </c>
      <c r="AJ145" s="174"/>
      <c r="AK145" s="165">
        <f>SUM(G146:AG146)</f>
        <v>0</v>
      </c>
      <c r="AL145" s="166"/>
      <c r="AM145" s="158">
        <f>IF(AK145=0,0,CP117)</f>
        <v>0</v>
      </c>
      <c r="AN145" s="160">
        <f>AK145*AM145</f>
        <v>0</v>
      </c>
      <c r="AQ145" s="97" t="s">
        <v>279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4" t="s">
        <v>213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/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3"/>
      <c r="AI146" s="173"/>
      <c r="AJ146" s="174"/>
      <c r="AK146" s="167"/>
      <c r="AL146" s="168"/>
      <c r="AM146" s="159"/>
      <c r="AN146" s="161"/>
      <c r="AQ146" s="103" t="s">
        <v>280</v>
      </c>
      <c r="CT146">
        <v>65</v>
      </c>
      <c r="DE146" s="61">
        <v>65</v>
      </c>
    </row>
    <row r="147" spans="1:109" ht="30.75" customHeight="1">
      <c r="A147" s="196" t="s">
        <v>55</v>
      </c>
      <c r="B147" s="196"/>
      <c r="C147" s="196"/>
      <c r="D147" s="196"/>
      <c r="E147" s="197"/>
      <c r="F147" s="83" t="s">
        <v>212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15</v>
      </c>
      <c r="R147" s="35">
        <f>IF(обед4="хліб пшеничний",180,(VLOOKUP(обед4,таб,53,FALSE)))</f>
        <v>0</v>
      </c>
      <c r="S147" s="34">
        <v>165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/>
      <c r="AC147" s="34">
        <f>IF(ужин4="хліб пшеничний",130,(VLOOKUP(ужин4,таб,53,FALSE)))</f>
        <v>0</v>
      </c>
      <c r="AD147" s="35">
        <f>IF(ужин5="хліб пшеничний",130,(VLOOKUP(ужин5,таб,53,FALSE)))</f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80">
        <f>IF(ужин8="хліб пшеничний",130,(VLOOKUP(ужин8,таб,53,FALSE)))</f>
        <v>0</v>
      </c>
      <c r="AH147" s="162">
        <v>616001</v>
      </c>
      <c r="AI147" s="173">
        <f>AK147/сред</f>
        <v>0.41000000000000003</v>
      </c>
      <c r="AJ147" s="174"/>
      <c r="AK147" s="165">
        <f>SUM(G148:AG148)</f>
        <v>6.5600000000000005</v>
      </c>
      <c r="AL147" s="166"/>
      <c r="AM147" s="158">
        <f>IF(AK147=0,0,CQ117)</f>
        <v>10.2</v>
      </c>
      <c r="AN147" s="160">
        <f>AK147*AM147</f>
        <v>66.912</v>
      </c>
      <c r="AQ147" s="103" t="s">
        <v>281</v>
      </c>
      <c r="CU147">
        <v>60</v>
      </c>
      <c r="DE147" s="61">
        <v>60</v>
      </c>
    </row>
    <row r="148" spans="1:111" ht="30.75" customHeight="1">
      <c r="A148" s="196"/>
      <c r="B148" s="196"/>
      <c r="C148" s="196"/>
      <c r="D148" s="196"/>
      <c r="E148" s="197"/>
      <c r="F148" s="84" t="s">
        <v>213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0.24</v>
      </c>
      <c r="R148" s="46">
        <f t="shared" si="183"/>
      </c>
      <c r="S148" s="47">
        <f t="shared" si="183"/>
        <v>2.64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/>
      <c r="AC148" s="47">
        <f t="shared" si="184"/>
      </c>
      <c r="AD148" s="46">
        <f t="shared" si="184"/>
        <v>2.08</v>
      </c>
      <c r="AE148" s="47">
        <f t="shared" si="184"/>
      </c>
      <c r="AF148" s="46">
        <f t="shared" si="184"/>
      </c>
      <c r="AG148" s="73">
        <f t="shared" si="184"/>
      </c>
      <c r="AH148" s="163"/>
      <c r="AI148" s="173"/>
      <c r="AJ148" s="174"/>
      <c r="AK148" s="167"/>
      <c r="AL148" s="168"/>
      <c r="AM148" s="159"/>
      <c r="AN148" s="161"/>
      <c r="AQ148" s="103" t="s">
        <v>282</v>
      </c>
      <c r="DE148" s="61">
        <v>35</v>
      </c>
      <c r="DG148">
        <v>35</v>
      </c>
    </row>
    <row r="149" spans="1:109" ht="30.75" customHeight="1">
      <c r="A149" s="237" t="s">
        <v>56</v>
      </c>
      <c r="B149" s="237"/>
      <c r="C149" s="237"/>
      <c r="D149" s="237"/>
      <c r="E149" s="238"/>
      <c r="F149" s="83" t="s">
        <v>212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/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1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103" t="s">
        <v>283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5" t="s">
        <v>213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/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3"/>
      <c r="AI150" s="173"/>
      <c r="AJ150" s="174"/>
      <c r="AK150" s="167"/>
      <c r="AL150" s="168"/>
      <c r="AM150" s="159"/>
      <c r="AN150" s="161"/>
      <c r="AQ150" s="103" t="s">
        <v>284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57</v>
      </c>
      <c r="B151" s="259"/>
      <c r="C151" s="259"/>
      <c r="D151" s="259"/>
      <c r="E151" s="260"/>
      <c r="F151" s="83" t="s">
        <v>218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103" t="s">
        <v>285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5" t="s">
        <v>218</v>
      </c>
      <c r="G152" s="95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74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74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/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74">
        <f t="shared" si="190"/>
      </c>
      <c r="AH152" s="164"/>
      <c r="AI152" s="281"/>
      <c r="AJ152" s="282"/>
      <c r="AK152" s="171"/>
      <c r="AL152" s="172"/>
      <c r="AM152" s="159"/>
      <c r="AN152" s="161"/>
      <c r="AQ152" s="103" t="s">
        <v>286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280</v>
      </c>
      <c r="B153" s="237"/>
      <c r="C153" s="237"/>
      <c r="D153" s="237"/>
      <c r="E153" s="238"/>
      <c r="F153" s="71" t="s">
        <v>212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/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103" t="s">
        <v>287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1" t="s">
        <v>213</v>
      </c>
      <c r="G154" s="48">
        <f aca="true" t="shared" si="191" ref="G154:N154">IF(G153=0,"",завтракл*G153/1000)</f>
      </c>
      <c r="H154" s="47">
        <f t="shared" si="191"/>
      </c>
      <c r="I154" s="100">
        <f t="shared" si="191"/>
      </c>
      <c r="J154" s="100">
        <f t="shared" si="191"/>
      </c>
      <c r="K154" s="100">
        <f t="shared" si="191"/>
      </c>
      <c r="L154" s="100">
        <f t="shared" si="191"/>
      </c>
      <c r="M154" s="100">
        <f t="shared" si="191"/>
      </c>
      <c r="N154" s="73">
        <f t="shared" si="191"/>
      </c>
      <c r="O154" s="47">
        <f aca="true" t="shared" si="192" ref="O154:V154">IF(O153=0,"",обідл*O153/1000)</f>
      </c>
      <c r="P154" s="100">
        <f t="shared" si="192"/>
      </c>
      <c r="Q154" s="100">
        <f t="shared" si="192"/>
      </c>
      <c r="R154" s="100">
        <f t="shared" si="192"/>
      </c>
      <c r="S154" s="100">
        <f t="shared" si="192"/>
      </c>
      <c r="T154" s="100">
        <f t="shared" si="192"/>
      </c>
      <c r="U154" s="100">
        <f t="shared" si="192"/>
      </c>
      <c r="V154" s="100">
        <f t="shared" si="192"/>
      </c>
      <c r="W154" s="100">
        <f>IF(W153=0,"",полдникл*W153/1000)</f>
      </c>
      <c r="X154" s="100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100">
        <f t="shared" si="193"/>
      </c>
      <c r="AB154" s="100"/>
      <c r="AC154" s="100">
        <f t="shared" si="193"/>
      </c>
      <c r="AD154" s="100">
        <f t="shared" si="193"/>
      </c>
      <c r="AE154" s="100">
        <f t="shared" si="193"/>
      </c>
      <c r="AF154" s="100">
        <f t="shared" si="193"/>
      </c>
      <c r="AG154" s="73">
        <f t="shared" si="193"/>
      </c>
      <c r="AH154" s="163"/>
      <c r="AI154" s="173"/>
      <c r="AJ154" s="174"/>
      <c r="AK154" s="167"/>
      <c r="AL154" s="168"/>
      <c r="AM154" s="159"/>
      <c r="AN154" s="161"/>
      <c r="AQ154" s="103" t="s">
        <v>288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281</v>
      </c>
      <c r="B155" s="196"/>
      <c r="C155" s="196"/>
      <c r="D155" s="196"/>
      <c r="E155" s="197"/>
      <c r="F155" s="71" t="s">
        <v>212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/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103" t="s">
        <v>289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5" t="s">
        <v>213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2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/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2">
        <f t="shared" si="196"/>
      </c>
      <c r="AH156" s="164"/>
      <c r="AI156" s="279"/>
      <c r="AJ156" s="280"/>
      <c r="AK156" s="167"/>
      <c r="AL156" s="168"/>
      <c r="AM156" s="159"/>
      <c r="AN156" s="161"/>
      <c r="AQ156" s="103" t="s">
        <v>290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61</v>
      </c>
      <c r="B157" s="237"/>
      <c r="C157" s="237"/>
      <c r="D157" s="237"/>
      <c r="E157" s="238"/>
      <c r="F157" s="83" t="s">
        <v>212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2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/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0.032</v>
      </c>
      <c r="AL157" s="166"/>
      <c r="AM157" s="158">
        <f>IF(AK157=0,0,CV117)</f>
        <v>145</v>
      </c>
      <c r="AN157" s="160">
        <f>AK157*AM157</f>
        <v>4.64</v>
      </c>
      <c r="AQ157" s="103" t="s">
        <v>291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4" t="s">
        <v>213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  <v>0.032</v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/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3"/>
      <c r="AI158" s="173"/>
      <c r="AJ158" s="174"/>
      <c r="AK158" s="167"/>
      <c r="AL158" s="168"/>
      <c r="AM158" s="159"/>
      <c r="AN158" s="161"/>
      <c r="AQ158" s="103" t="s">
        <v>292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60</v>
      </c>
      <c r="B159" s="196"/>
      <c r="C159" s="196"/>
      <c r="D159" s="196"/>
      <c r="E159" s="197"/>
      <c r="F159" s="83" t="s">
        <v>212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/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103" t="s">
        <v>293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4" t="s">
        <v>213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/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3"/>
      <c r="AI160" s="173"/>
      <c r="AJ160" s="174"/>
      <c r="AK160" s="167"/>
      <c r="AL160" s="168"/>
      <c r="AM160" s="159"/>
      <c r="AN160" s="161"/>
      <c r="AQ160" s="103" t="s">
        <v>294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3</v>
      </c>
      <c r="B161" s="237"/>
      <c r="C161" s="237"/>
      <c r="D161" s="237"/>
      <c r="E161" s="238"/>
      <c r="F161" s="83" t="s">
        <v>212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/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103" t="s">
        <v>304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4" t="s">
        <v>213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/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3"/>
      <c r="AI162" s="173"/>
      <c r="AJ162" s="174"/>
      <c r="AK162" s="167"/>
      <c r="AL162" s="168"/>
      <c r="AM162" s="159"/>
      <c r="AN162" s="161"/>
      <c r="AQ162" s="103" t="s">
        <v>295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62</v>
      </c>
      <c r="B163" s="196"/>
      <c r="C163" s="196"/>
      <c r="D163" s="196"/>
      <c r="E163" s="197"/>
      <c r="F163" s="83" t="s">
        <v>212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/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2"/>
      <c r="AI163" s="173">
        <v>0.01</v>
      </c>
      <c r="AJ163" s="174"/>
      <c r="AK163" s="165">
        <f>AI163*сред</f>
        <v>0.16</v>
      </c>
      <c r="AL163" s="166"/>
      <c r="AM163" s="158">
        <v>4.07</v>
      </c>
      <c r="AN163" s="160">
        <f>AK163*AM163</f>
        <v>0.6512000000000001</v>
      </c>
      <c r="AQ163" s="103" t="s">
        <v>296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4" t="s">
        <v>213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/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3"/>
      <c r="AI164" s="173"/>
      <c r="AJ164" s="174"/>
      <c r="AK164" s="167"/>
      <c r="AL164" s="168"/>
      <c r="AM164" s="159"/>
      <c r="AN164" s="161"/>
      <c r="AQ164" s="103" t="s">
        <v>297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63</v>
      </c>
      <c r="B165" s="237"/>
      <c r="C165" s="237"/>
      <c r="D165" s="237"/>
      <c r="E165" s="238"/>
      <c r="F165" s="83" t="s">
        <v>212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0.016</v>
      </c>
      <c r="AL165" s="166"/>
      <c r="AM165" s="158">
        <f>IF(AK165=0,0,CZ117)</f>
        <v>168</v>
      </c>
      <c r="AN165" s="160">
        <f>AK165*AM165</f>
        <v>2.688</v>
      </c>
      <c r="AQ165" s="103" t="s">
        <v>298</v>
      </c>
      <c r="AT165">
        <v>160</v>
      </c>
      <c r="CI165">
        <v>15</v>
      </c>
      <c r="CJ165">
        <v>15</v>
      </c>
      <c r="DE165" s="61" t="s">
        <v>323</v>
      </c>
    </row>
    <row r="166" spans="1:109" ht="30.75" customHeight="1">
      <c r="A166" s="239"/>
      <c r="B166" s="239"/>
      <c r="C166" s="239"/>
      <c r="D166" s="239"/>
      <c r="E166" s="240"/>
      <c r="F166" s="84" t="s">
        <v>213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0.016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3"/>
      <c r="AI166" s="173"/>
      <c r="AJ166" s="174"/>
      <c r="AK166" s="167"/>
      <c r="AL166" s="168"/>
      <c r="AM166" s="159"/>
      <c r="AN166" s="161"/>
      <c r="AQ166" s="103" t="s">
        <v>299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64</v>
      </c>
      <c r="B167" s="196"/>
      <c r="C167" s="196"/>
      <c r="D167" s="196"/>
      <c r="E167" s="197"/>
      <c r="F167" s="83" t="s">
        <v>212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/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103" t="s">
        <v>300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4" t="s">
        <v>213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/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3"/>
      <c r="AI168" s="173"/>
      <c r="AJ168" s="174"/>
      <c r="AK168" s="167"/>
      <c r="AL168" s="168"/>
      <c r="AM168" s="159"/>
      <c r="AN168" s="161"/>
      <c r="AQ168" s="103" t="s">
        <v>301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65</v>
      </c>
      <c r="B169" s="196"/>
      <c r="C169" s="196"/>
      <c r="D169" s="196"/>
      <c r="E169" s="197"/>
      <c r="F169" s="83" t="s">
        <v>212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/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103" t="s">
        <v>302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4" t="s">
        <v>213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/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3"/>
      <c r="AI170" s="173"/>
      <c r="AJ170" s="174"/>
      <c r="AK170" s="167"/>
      <c r="AL170" s="168"/>
      <c r="AM170" s="159"/>
      <c r="AN170" s="161"/>
      <c r="AQ170" t="s">
        <v>305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66</v>
      </c>
      <c r="B171" s="196"/>
      <c r="C171" s="196"/>
      <c r="D171" s="196"/>
      <c r="E171" s="197"/>
      <c r="F171" s="83" t="s">
        <v>212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/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0.016</v>
      </c>
      <c r="AL171" s="166"/>
      <c r="AM171" s="158">
        <f>IF(AK171=0,0,DC117)</f>
        <v>81.11</v>
      </c>
      <c r="AN171" s="160">
        <f>AK171*AM171</f>
        <v>1.29776</v>
      </c>
      <c r="AQ171" s="110" t="s">
        <v>325</v>
      </c>
      <c r="BW171">
        <v>22</v>
      </c>
      <c r="CF171">
        <v>40</v>
      </c>
      <c r="DE171" s="61">
        <v>180</v>
      </c>
    </row>
    <row r="172" spans="1:40" ht="30.75" customHeight="1">
      <c r="A172" s="196"/>
      <c r="B172" s="196"/>
      <c r="C172" s="196"/>
      <c r="D172" s="196"/>
      <c r="E172" s="197"/>
      <c r="F172" s="84" t="s">
        <v>213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/>
      <c r="AC172" s="49">
        <f t="shared" si="220"/>
      </c>
      <c r="AD172" s="45">
        <f t="shared" si="220"/>
      </c>
      <c r="AE172" s="49">
        <f t="shared" si="220"/>
        <v>0.016</v>
      </c>
      <c r="AF172" s="45">
        <f t="shared" si="220"/>
      </c>
      <c r="AG172" s="78">
        <f t="shared" si="220"/>
      </c>
      <c r="AH172" s="163"/>
      <c r="AI172" s="173"/>
      <c r="AJ172" s="174"/>
      <c r="AK172" s="167"/>
      <c r="AL172" s="168"/>
      <c r="AM172" s="159"/>
      <c r="AN172" s="161"/>
    </row>
    <row r="173" spans="1:40" ht="30.75" customHeight="1">
      <c r="A173" s="196" t="s">
        <v>168</v>
      </c>
      <c r="B173" s="196"/>
      <c r="C173" s="196"/>
      <c r="D173" s="196"/>
      <c r="E173" s="197"/>
      <c r="F173" s="83" t="s">
        <v>212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/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</row>
    <row r="174" spans="1:40" ht="30.75" customHeight="1">
      <c r="A174" s="196"/>
      <c r="B174" s="196"/>
      <c r="C174" s="196"/>
      <c r="D174" s="196"/>
      <c r="E174" s="197"/>
      <c r="F174" s="84" t="s">
        <v>213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/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3"/>
      <c r="AI174" s="173"/>
      <c r="AJ174" s="174"/>
      <c r="AK174" s="167"/>
      <c r="AL174" s="168"/>
      <c r="AM174" s="159"/>
      <c r="AN174" s="161"/>
    </row>
    <row r="175" spans="1:40" ht="30.75" customHeight="1">
      <c r="A175" s="259" t="s">
        <v>169</v>
      </c>
      <c r="B175" s="259"/>
      <c r="C175" s="259"/>
      <c r="D175" s="259"/>
      <c r="E175" s="260"/>
      <c r="F175" s="83" t="s">
        <v>212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1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/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2"/>
      <c r="AI175" s="173">
        <f>AK175/сред</f>
        <v>0.001</v>
      </c>
      <c r="AJ175" s="174"/>
      <c r="AK175" s="165">
        <f>SUM(G176:AG176)</f>
        <v>0.016</v>
      </c>
      <c r="AL175" s="166"/>
      <c r="AM175" s="158">
        <f>IF(AK175=0,0,DI117)</f>
        <v>51</v>
      </c>
      <c r="AN175" s="160">
        <f>AK175*AM175</f>
        <v>0.8160000000000001</v>
      </c>
    </row>
    <row r="176" spans="1:40" ht="30.75" customHeight="1">
      <c r="A176" s="261"/>
      <c r="B176" s="261"/>
      <c r="C176" s="261"/>
      <c r="D176" s="261"/>
      <c r="E176" s="262"/>
      <c r="F176" s="84" t="s">
        <v>213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0.016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/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3"/>
      <c r="AI176" s="173"/>
      <c r="AJ176" s="174"/>
      <c r="AK176" s="167"/>
      <c r="AL176" s="168"/>
      <c r="AM176" s="159"/>
      <c r="AN176" s="161"/>
    </row>
    <row r="177" spans="1:40" ht="30.75" customHeight="1">
      <c r="A177" s="259" t="s">
        <v>67</v>
      </c>
      <c r="B177" s="259"/>
      <c r="C177" s="259"/>
      <c r="D177" s="259"/>
      <c r="E177" s="260"/>
      <c r="F177" s="83" t="s">
        <v>212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/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2"/>
      <c r="AI177" s="173"/>
      <c r="AJ177" s="174"/>
      <c r="AK177" s="165">
        <f>AI177*сред</f>
        <v>0</v>
      </c>
      <c r="AL177" s="166"/>
      <c r="AM177" s="158"/>
      <c r="AN177" s="160">
        <f>AK177*AM177</f>
        <v>0</v>
      </c>
    </row>
    <row r="178" spans="1:40" ht="30.75" customHeight="1">
      <c r="A178" s="259"/>
      <c r="B178" s="259"/>
      <c r="C178" s="259"/>
      <c r="D178" s="259"/>
      <c r="E178" s="260"/>
      <c r="F178" s="84" t="s">
        <v>213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/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3"/>
      <c r="AI178" s="173"/>
      <c r="AJ178" s="174"/>
      <c r="AK178" s="167"/>
      <c r="AL178" s="168"/>
      <c r="AM178" s="159"/>
      <c r="AN178" s="161"/>
    </row>
    <row r="179" spans="1:40" ht="30.75" customHeight="1">
      <c r="A179" s="319" t="s">
        <v>220</v>
      </c>
      <c r="B179" s="320"/>
      <c r="C179" s="320"/>
      <c r="D179" s="320"/>
      <c r="E179" s="321"/>
      <c r="F179" s="86" t="s">
        <v>212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/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</row>
    <row r="180" spans="1:40" ht="30.75" customHeight="1">
      <c r="A180" s="322"/>
      <c r="B180" s="323"/>
      <c r="C180" s="323"/>
      <c r="D180" s="323"/>
      <c r="E180" s="324"/>
      <c r="F180" s="87" t="s">
        <v>213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/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3"/>
      <c r="AI180" s="173"/>
      <c r="AJ180" s="174"/>
      <c r="AK180" s="167"/>
      <c r="AL180" s="168"/>
      <c r="AM180" s="159"/>
      <c r="AN180" s="161"/>
    </row>
    <row r="181" spans="1:40" ht="30.75" customHeight="1">
      <c r="A181" s="272" t="s">
        <v>234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227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303</v>
      </c>
      <c r="AI181" s="60"/>
      <c r="AJ181" s="60"/>
      <c r="AK181" s="60"/>
      <c r="AL181" s="60"/>
      <c r="AM181" s="157">
        <f>SUM(AN25:AN178)</f>
        <v>980.6011199999999</v>
      </c>
      <c r="AN181" s="157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63" t="s">
        <v>228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229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230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231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5"/>
      <c r="B445" s="315"/>
      <c r="C445" s="315"/>
      <c r="D445" s="315"/>
      <c r="E445" s="316"/>
    </row>
    <row r="446" spans="1:5" ht="12.75">
      <c r="A446" s="259"/>
      <c r="B446" s="259"/>
      <c r="C446" s="259"/>
      <c r="D446" s="259"/>
      <c r="E446" s="260"/>
    </row>
    <row r="447" spans="1:5" ht="12.75">
      <c r="A447" s="259"/>
      <c r="B447" s="259"/>
      <c r="C447" s="259"/>
      <c r="D447" s="259"/>
      <c r="E447" s="260"/>
    </row>
    <row r="448" spans="1:5" ht="12.75">
      <c r="A448" s="259"/>
      <c r="B448" s="259"/>
      <c r="C448" s="259"/>
      <c r="D448" s="259"/>
      <c r="E448" s="260"/>
    </row>
    <row r="449" spans="1:5" ht="12.75">
      <c r="A449" s="259"/>
      <c r="B449" s="259"/>
      <c r="C449" s="259"/>
      <c r="D449" s="259"/>
      <c r="E449" s="260"/>
    </row>
    <row r="450" spans="1:5" ht="12.7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9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2013-11-30T10:01:35Z</cp:lastPrinted>
  <dcterms:created xsi:type="dcterms:W3CDTF">1996-10-08T23:32:33Z</dcterms:created>
  <dcterms:modified xsi:type="dcterms:W3CDTF">2018-10-01T08:01:59Z</dcterms:modified>
  <cp:category/>
  <cp:version/>
  <cp:contentType/>
  <cp:contentStatus/>
</cp:coreProperties>
</file>